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I-Rechner" sheetId="1" state="visible" r:id="rId3"/>
    <sheet name="Annahmen &amp; Hinweise" sheetId="2" state="visible" r:id="rId4"/>
  </sheets>
  <definedNames>
    <definedName function="false" hidden="false" localSheetId="0" name="_xlnm.Print_Area" vbProcedure="false">'ROI-Rechner'!$A$1:$G$44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Zusammenhängende Roboterfläche im Objekt</t>
        </r>
      </text>
    </comment>
    <comment ref="C9" authorId="0">
      <text>
        <r>
          <rPr>
            <sz val="10"/>
            <rFont val="Arial"/>
            <family val="2"/>
          </rPr>
          <t xml:space="preserve">Wie oft pro Woche gereinigt wird</t>
        </r>
      </text>
    </comment>
    <comment ref="C10" authorId="0">
      <text>
        <r>
          <rPr>
            <sz val="10"/>
            <rFont val="Arial"/>
            <family val="2"/>
          </rPr>
          <t xml:space="preserve">Inkl. Lohnnebenkosten, €/h</t>
        </r>
      </text>
    </comment>
    <comment ref="C11" authorId="0">
      <text>
        <r>
          <rPr>
            <sz val="10"/>
            <rFont val="Arial"/>
            <family val="2"/>
          </rPr>
          <t xml:space="preserve">Für TCO und Abschreibung</t>
        </r>
      </text>
    </comment>
    <comment ref="C14" authorId="0">
      <text>
        <r>
          <rPr>
            <sz val="10"/>
            <rFont val="Arial"/>
            <family val="2"/>
          </rPr>
          <t xml:space="preserve">Praktische Reinigungsleistung pro Stunde</t>
        </r>
      </text>
    </comment>
    <comment ref="C15" authorId="0">
      <text>
        <r>
          <rPr>
            <sz val="10"/>
            <rFont val="Arial"/>
            <family val="2"/>
          </rPr>
          <t xml:space="preserve">Reinigungsmittel, Verbrauch — optional</t>
        </r>
      </text>
    </comment>
    <comment ref="C18" authorId="0">
      <text>
        <r>
          <rPr>
            <sz val="10"/>
            <rFont val="Arial"/>
            <family val="2"/>
          </rPr>
          <t xml:space="preserve">Einmalige Investition bei Kauf</t>
        </r>
      </text>
    </comment>
    <comment ref="C19" authorId="0">
      <text>
        <r>
          <rPr>
            <sz val="10"/>
            <rFont val="Arial"/>
            <family val="2"/>
          </rPr>
          <t xml:space="preserve">Robots-as-a-Service Monatsmiete</t>
        </r>
      </text>
    </comment>
    <comment ref="C20" authorId="0">
      <text>
        <r>
          <rPr>
            <sz val="10"/>
            <rFont val="Arial"/>
            <family val="2"/>
          </rPr>
          <t xml:space="preserve">Praktische Leistung des Roboters</t>
        </r>
      </text>
    </comment>
    <comment ref="C21" authorId="0">
      <text>
        <r>
          <rPr>
            <sz val="10"/>
            <rFont val="Arial"/>
            <family val="2"/>
          </rPr>
          <t xml:space="preserve">Vor-/Nachbereitung durch Personal</t>
        </r>
      </text>
    </comment>
    <comment ref="C22" authorId="0">
      <text>
        <r>
          <rPr>
            <sz val="10"/>
            <rFont val="Arial"/>
            <family val="2"/>
          </rPr>
          <t xml:space="preserve">Energiebedarf je Reinigungslauf</t>
        </r>
      </text>
    </comment>
    <comment ref="C23" authorId="0">
      <text>
        <r>
          <rPr>
            <sz val="10"/>
            <rFont val="Arial"/>
            <family val="2"/>
          </rPr>
          <t xml:space="preserve">Arbeitspreis Strom</t>
        </r>
      </text>
    </comment>
    <comment ref="C24" authorId="0">
      <text>
        <r>
          <rPr>
            <sz val="10"/>
            <rFont val="Arial"/>
            <family val="2"/>
          </rPr>
          <t xml:space="preserve">Service, Bürsten, Pads etc.</t>
        </r>
      </text>
    </comment>
    <comment ref="C25" authorId="0">
      <text>
        <r>
          <rPr>
            <sz val="10"/>
            <rFont val="Arial"/>
            <family val="2"/>
          </rPr>
          <t xml:space="preserve">Optional, bei Nassbetrieb</t>
        </r>
      </text>
    </comment>
    <comment ref="F14" authorId="0">
      <text>
        <r>
          <rPr>
            <sz val="10"/>
            <rFont val="Arial"/>
            <family val="2"/>
          </rPr>
          <t xml:space="preserve">Betreuung + Strom + Wartung + Wasser/Chemie (ohne Kapitalkosten)</t>
        </r>
      </text>
    </comment>
    <comment ref="F22" authorId="0">
      <text>
        <r>
          <rPr>
            <sz val="10"/>
            <rFont val="Arial"/>
            <family val="2"/>
          </rPr>
          <t xml:space="preserve">Investition / (manuelle Jahreskosten − laufende Roboterkosten) × 12</t>
        </r>
      </text>
    </comment>
  </commentList>
</comments>
</file>

<file path=xl/sharedStrings.xml><?xml version="1.0" encoding="utf-8"?>
<sst xmlns="http://schemas.openxmlformats.org/spreadsheetml/2006/main" count="66" uniqueCount="65">
  <si>
    <t xml:space="preserve">  CLEANROBOTIX</t>
  </si>
  <si>
    <t xml:space="preserve">  ROI-Rechner für Reinigungsroboter</t>
  </si>
  <si>
    <t xml:space="preserve">Wirtschaftlichkeit von Roboterlösungen im Vergleich zur manuellen Reinigung berechnen</t>
  </si>
  <si>
    <t xml:space="preserve">Blau hinterlegte Felder = Eingaben (anpassen). Die Beispielwerte zeigen einen typischen Fall — bitte mit Ihren Zahlen überschreiben.</t>
  </si>
  <si>
    <t xml:space="preserve">  1 · Allgemeine Angaben</t>
  </si>
  <si>
    <t xml:space="preserve">  Ergebnis · Kennzahlen</t>
  </si>
  <si>
    <t xml:space="preserve">Zu reinigende Fläche</t>
  </si>
  <si>
    <t xml:space="preserve">Einsätze pro Jahr</t>
  </si>
  <si>
    <t xml:space="preserve">Reinigungsfrequenz (Einsätze / Woche)</t>
  </si>
  <si>
    <t xml:space="preserve">Gereinigte Fläche pro Jahr</t>
  </si>
  <si>
    <t xml:space="preserve">Stundenlohn Reinigungskraft (Vollkosten)</t>
  </si>
  <si>
    <t xml:space="preserve">Roboter-Laufzeit pro Einsatz</t>
  </si>
  <si>
    <t xml:space="preserve">Betrachtungszeitraum / Nutzungsdauer (Jahre)</t>
  </si>
  <si>
    <t xml:space="preserve">  Jahreskosten im Vergleich</t>
  </si>
  <si>
    <t xml:space="preserve">  2 · Manuelle Reinigung (Ist-Zustand)</t>
  </si>
  <si>
    <t xml:space="preserve">Kosten manuell / Jahr</t>
  </si>
  <si>
    <t xml:space="preserve">Flächenleistung manuell (m²/h)</t>
  </si>
  <si>
    <t xml:space="preserve">Roboter — laufende Kosten / Jahr</t>
  </si>
  <si>
    <t xml:space="preserve">Materialkosten manuell / Jahr (optional)</t>
  </si>
  <si>
    <t xml:space="preserve">Roboter — Abschreibung / Jahr (Kauf)</t>
  </si>
  <si>
    <t xml:space="preserve">Kosten Roboter (Kauf) / Jahr</t>
  </si>
  <si>
    <t xml:space="preserve">  3 · Roboterlösung</t>
  </si>
  <si>
    <t xml:space="preserve">Kosten Roboter (RaaS) / Jahr</t>
  </si>
  <si>
    <t xml:space="preserve">Anschaffungskosten Roboter (Kauf)</t>
  </si>
  <si>
    <t xml:space="preserve">RaaS-Monatsrate (Miete, alternativ)</t>
  </si>
  <si>
    <t xml:space="preserve">  Einsparung &amp; Rentabilität</t>
  </si>
  <si>
    <t xml:space="preserve">Flächenleistung Roboter (m²/h)</t>
  </si>
  <si>
    <t xml:space="preserve">Einsparung / Jahr (Kauf)</t>
  </si>
  <si>
    <t xml:space="preserve">Betreuungszeit pro Einsatz (Min.)</t>
  </si>
  <si>
    <t xml:space="preserve">Einsparung / Jahr (RaaS)</t>
  </si>
  <si>
    <t xml:space="preserve">Stromverbrauch pro Einsatz (kWh)</t>
  </si>
  <si>
    <t xml:space="preserve">Amortisationsdauer Kauf (Monate)</t>
  </si>
  <si>
    <t xml:space="preserve">Strompreis (€/kWh)</t>
  </si>
  <si>
    <t xml:space="preserve">Gesamtersparnis Kauf über Nutzungsdauer</t>
  </si>
  <si>
    <t xml:space="preserve">Wartung &amp; Verbrauchsmaterial / Jahr</t>
  </si>
  <si>
    <t xml:space="preserve">ROI Kauf über Nutzungsdauer</t>
  </si>
  <si>
    <t xml:space="preserve">Wasser / Chemie / Jahr (optional)</t>
  </si>
  <si>
    <t xml:space="preserve">  Mehrjahresvergleich — kumulierte Kosten (TCO)</t>
  </si>
  <si>
    <t xml:space="preserve">Jahr</t>
  </si>
  <si>
    <t xml:space="preserve">Manuell (kum.)</t>
  </si>
  <si>
    <t xml:space="preserve">Roboter Kauf (kum.)</t>
  </si>
  <si>
    <t xml:space="preserve">Roboter RaaS (kum.)</t>
  </si>
  <si>
    <t xml:space="preserve">Ersparnis Kauf (kum.)</t>
  </si>
  <si>
    <t xml:space="preserve">Hinweis: Beim Kauf ist die Investition in Jahr 1 vollständig berücksichtigt; die Ersparnis-Spalte zeigt, ab wann sich der Robotereinsatz rechnet. Details und Methodik siehe Tabellenblatt „Annahmen &amp; Hinweise“.</t>
  </si>
  <si>
    <t xml:space="preserve">  CLEANROBOTIX — Annahmen &amp; Hinweise zum ROI-Rechner</t>
  </si>
  <si>
    <t xml:space="preserve">Methodik</t>
  </si>
  <si>
    <t xml:space="preserve">Der Rechner vergleicht die jährlichen Vollkosten der manuellen Reinigung mit zwei Roboter-Szenarien (Kauf und RaaS-Miete) und leitet daraus Einsparung, Amortisation und ROI ab.</t>
  </si>
  <si>
    <t xml:space="preserve">Reinigungsfrequenz pro Woche × 52. Passen Sie die Frequenz an reale Betriebstage an, falls saisonale Schließzeiten bestehen.</t>
  </si>
  <si>
    <t xml:space="preserve">Manuelle Kosten</t>
  </si>
  <si>
    <t xml:space="preserve">(Fläche ÷ Flächenleistung manuell) × Einsätze/Jahr × Stundenlohn (Vollkosten) + optionale Materialkosten.</t>
  </si>
  <si>
    <t xml:space="preserve">Laufende Roboterkosten</t>
  </si>
  <si>
    <t xml:space="preserve">Personal für Vor-/Nachbereitung + Stromkosten + Wartung/Verbrauch + Wasser/Chemie. Kapitalkosten sind hier nicht enthalten.</t>
  </si>
  <si>
    <t xml:space="preserve">Kauf-Szenario</t>
  </si>
  <si>
    <t xml:space="preserve">Laufende Kosten + lineare Abschreibung (Investition ÷ Nutzungsdauer).</t>
  </si>
  <si>
    <t xml:space="preserve">RaaS-Szenario</t>
  </si>
  <si>
    <t xml:space="preserve">Laufende Kosten + RaaS-Monatsrate × 12. Wartung ist je nach Vertrag teils in der Rate enthalten — dann den Wartungswert auf 0 setzen.</t>
  </si>
  <si>
    <t xml:space="preserve">Amortisation (Kauf)</t>
  </si>
  <si>
    <t xml:space="preserve">Investition ÷ (manuelle Jahreskosten − laufende Roboterkosten) × 12 Monate. Ist die laufende Differenz ≤ 0, ist der Einsatz nicht wirtschaftlich.</t>
  </si>
  <si>
    <t xml:space="preserve">Stundenlohn</t>
  </si>
  <si>
    <t xml:space="preserve">Immer als Vollkostensatz inkl. Lohnnebenkosten ansetzen, nicht den reinen Bruttolohn.</t>
  </si>
  <si>
    <t xml:space="preserve">Nicht enthalten</t>
  </si>
  <si>
    <t xml:space="preserve">Einmalige Einrichtung/Mapping, bauliche Anpassungen, Schulung, mögliche Produktivitätsgewinne an anderer Stelle, Qualitäts-/Imagewert. Bei Bedarf separat berücksichtigen.</t>
  </si>
  <si>
    <t xml:space="preserve">Genauigkeit</t>
  </si>
  <si>
    <t xml:space="preserve">Die Ergebnisse sind Näherungswerte zur Entscheidungsvorbereitung und ersetzen kein verbindliches Angebot. Werte mit dem Anbieter und der Pilotphase validieren.</t>
  </si>
  <si>
    <t xml:space="preserve">Cleanrobotix — ein Angebot der Hygiene &amp; Reinigungsexperten GmbH &amp; Co. KG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</si>
</sst>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&quot; m²&quot;"/>
    <numFmt numFmtId="166" formatCode="#,##0"/>
    <numFmt numFmtId="167" formatCode="#,##0.0&quot; €&quot;"/>
    <numFmt numFmtId="168" formatCode="#,##0.0&quot; h&quot;"/>
    <numFmt numFmtId="169" formatCode="#,##0&quot; €&quot;"/>
    <numFmt numFmtId="170" formatCode="#,##0.0"/>
    <numFmt numFmtId="171" formatCode="0.0%"/>
    <numFmt numFmtId="172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0B6FA4"/>
      <name val="Arial"/>
      <family val="0"/>
      <charset val="1"/>
    </font>
    <font>
      <i val="true"/>
      <sz val="9"/>
      <color rgb="FF8A61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B1B33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B1B3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B6E3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B1B33"/>
      <name val="Arial"/>
      <family val="0"/>
      <charset val="1"/>
    </font>
    <font>
      <sz val="9"/>
      <name val="Arial"/>
      <family val="0"/>
      <charset val="1"/>
    </font>
    <font>
      <b val="true"/>
      <sz val="9"/>
      <color rgb="FF1B6E3C"/>
      <name val="Arial"/>
      <family val="0"/>
      <charset val="1"/>
    </font>
    <font>
      <i val="true"/>
      <sz val="8"/>
      <color rgb="FF5A6B7B"/>
      <name val="Arial"/>
      <family val="0"/>
      <charset val="1"/>
    </font>
    <font>
      <sz val="10"/>
      <name val="Arial"/>
      <family val="2"/>
    </font>
    <font>
      <b val="true"/>
      <sz val="13"/>
      <color rgb="FFFFFFFF"/>
      <name val="Arial"/>
      <family val="0"/>
      <charset val="1"/>
    </font>
    <font>
      <sz val="10"/>
      <color rgb="FF1A2533"/>
      <name val="Arial"/>
      <family val="0"/>
      <charset val="1"/>
    </font>
    <font>
      <i val="true"/>
      <sz val="9"/>
      <color rgb="FF5A6B7B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B1B33"/>
        <bgColor rgb="FF1A2533"/>
      </patternFill>
    </fill>
    <fill>
      <patternFill patternType="solid">
        <fgColor rgb="FF0B6FA4"/>
        <bgColor rgb="FF008080"/>
      </patternFill>
    </fill>
    <fill>
      <patternFill patternType="solid">
        <fgColor rgb="FFEAF4FB"/>
        <bgColor rgb="FFF4F8FC"/>
      </patternFill>
    </fill>
    <fill>
      <patternFill patternType="solid">
        <fgColor rgb="FFFFFDE7"/>
        <bgColor rgb="FFFFFFFF"/>
      </patternFill>
    </fill>
    <fill>
      <patternFill patternType="solid">
        <fgColor rgb="FFF4F8FC"/>
        <bgColor rgb="FFEAF4F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6E2"/>
      </left>
      <right style="thin">
        <color rgb="FFC9D6E2"/>
      </right>
      <top style="thin">
        <color rgb="FFC9D6E2"/>
      </top>
      <bottom style="thin">
        <color rgb="FFC9D6E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6E3C"/>
      <rgbColor rgb="FF000080"/>
      <rgbColor rgb="FF8A6100"/>
      <rgbColor rgb="FF800080"/>
      <rgbColor rgb="FF008080"/>
      <rgbColor rgb="FFC0C0C0"/>
      <rgbColor rgb="FF808080"/>
      <rgbColor rgb="FF9999FF"/>
      <rgbColor rgb="FF993366"/>
      <rgbColor rgb="FFFFFDE7"/>
      <rgbColor rgb="FFEAF4FB"/>
      <rgbColor rgb="FF660066"/>
      <rgbColor rgb="FFFF8080"/>
      <rgbColor rgb="FF0B6FA4"/>
      <rgbColor rgb="FFC9D6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8F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969696"/>
      <rgbColor rgb="FF0B1B33"/>
      <rgbColor rgb="FF339966"/>
      <rgbColor rgb="FF003300"/>
      <rgbColor rgb="FF333300"/>
      <rgbColor rgb="FF993300"/>
      <rgbColor rgb="FF993366"/>
      <rgbColor rgb="FF333399"/>
      <rgbColor rgb="FF1A25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6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18"/>
    <col collapsed="false" customWidth="true" hidden="false" outlineLevel="0" max="6" min="6" style="1" width="46"/>
    <col collapsed="false" customWidth="true" hidden="false" outlineLevel="0" max="7" min="7" style="1" width="18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8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5" customFormat="false" ht="15" hidden="false" customHeight="true" outlineLevel="0" collapsed="false">
      <c r="B5" s="5" t="s">
        <v>3</v>
      </c>
      <c r="C5" s="5"/>
      <c r="D5" s="5"/>
      <c r="E5" s="5"/>
      <c r="F5" s="5"/>
      <c r="G5" s="5"/>
    </row>
    <row r="7" customFormat="false" ht="18" hidden="false" customHeight="true" outlineLevel="0" collapsed="false">
      <c r="B7" s="6" t="s">
        <v>4</v>
      </c>
      <c r="C7" s="6"/>
      <c r="D7" s="6"/>
      <c r="F7" s="7" t="s">
        <v>5</v>
      </c>
      <c r="G7" s="7"/>
    </row>
    <row r="8" customFormat="false" ht="15" hidden="false" customHeight="true" outlineLevel="0" collapsed="false">
      <c r="B8" s="8" t="s">
        <v>6</v>
      </c>
      <c r="C8" s="9" t="n">
        <v>3000</v>
      </c>
      <c r="D8" s="10"/>
      <c r="F8" s="8" t="s">
        <v>7</v>
      </c>
      <c r="G8" s="11" t="n">
        <f aca="false">($C9*52)</f>
        <v>312</v>
      </c>
    </row>
    <row r="9" customFormat="false" ht="15" hidden="false" customHeight="true" outlineLevel="0" collapsed="false">
      <c r="B9" s="8" t="s">
        <v>8</v>
      </c>
      <c r="C9" s="12" t="n">
        <v>6</v>
      </c>
      <c r="D9" s="10"/>
      <c r="F9" s="8" t="s">
        <v>9</v>
      </c>
      <c r="G9" s="13" t="n">
        <f aca="false">(C8*($C9*52))</f>
        <v>936000</v>
      </c>
    </row>
    <row r="10" customFormat="false" ht="15" hidden="false" customHeight="true" outlineLevel="0" collapsed="false">
      <c r="B10" s="8" t="s">
        <v>10</v>
      </c>
      <c r="C10" s="14" t="n">
        <v>22</v>
      </c>
      <c r="D10" s="10"/>
      <c r="F10" s="8" t="s">
        <v>11</v>
      </c>
      <c r="G10" s="15" t="n">
        <f aca="false">IF(C20=0,0,C8/C20)</f>
        <v>3.75</v>
      </c>
    </row>
    <row r="11" customFormat="false" ht="15" hidden="false" customHeight="true" outlineLevel="0" collapsed="false">
      <c r="B11" s="8" t="s">
        <v>12</v>
      </c>
      <c r="C11" s="12" t="n">
        <v>5</v>
      </c>
      <c r="D11" s="10"/>
    </row>
    <row r="12" customFormat="false" ht="18" hidden="false" customHeight="true" outlineLevel="0" collapsed="false">
      <c r="F12" s="6" t="s">
        <v>13</v>
      </c>
      <c r="G12" s="6"/>
    </row>
    <row r="13" customFormat="false" ht="18" hidden="false" customHeight="true" outlineLevel="0" collapsed="false">
      <c r="B13" s="6" t="s">
        <v>14</v>
      </c>
      <c r="C13" s="6"/>
      <c r="D13" s="6"/>
      <c r="F13" s="16" t="s">
        <v>15</v>
      </c>
      <c r="G13" s="17" t="n">
        <f aca="false">IF(C14=0,0,(C8/C14)*($C9*52)*C10)+C15</f>
        <v>82368</v>
      </c>
    </row>
    <row r="14" customFormat="false" ht="15" hidden="false" customHeight="true" outlineLevel="0" collapsed="false">
      <c r="B14" s="8" t="s">
        <v>16</v>
      </c>
      <c r="C14" s="12" t="n">
        <v>250</v>
      </c>
      <c r="D14" s="10"/>
      <c r="F14" s="8" t="s">
        <v>17</v>
      </c>
      <c r="G14" s="18" t="n">
        <f aca="false">(C21/60*($C9*52)*C10)+(C22*($C9*52)*C23)+C24+C25</f>
        <v>3850</v>
      </c>
    </row>
    <row r="15" customFormat="false" ht="15" hidden="false" customHeight="true" outlineLevel="0" collapsed="false">
      <c r="B15" s="8" t="s">
        <v>18</v>
      </c>
      <c r="C15" s="19" t="n">
        <v>0</v>
      </c>
      <c r="D15" s="10"/>
      <c r="F15" s="8" t="s">
        <v>19</v>
      </c>
      <c r="G15" s="18" t="n">
        <f aca="false">IF(C11=0,0,C18/C11)</f>
        <v>7600</v>
      </c>
    </row>
    <row r="16" customFormat="false" ht="15" hidden="false" customHeight="true" outlineLevel="0" collapsed="false">
      <c r="F16" s="16" t="s">
        <v>20</v>
      </c>
      <c r="G16" s="17" t="n">
        <f aca="false">G14+G15</f>
        <v>11450</v>
      </c>
    </row>
    <row r="17" customFormat="false" ht="18" hidden="false" customHeight="true" outlineLevel="0" collapsed="false">
      <c r="B17" s="6" t="s">
        <v>21</v>
      </c>
      <c r="C17" s="6"/>
      <c r="D17" s="6"/>
      <c r="F17" s="16" t="s">
        <v>22</v>
      </c>
      <c r="G17" s="17" t="n">
        <f aca="false">G14+(C19*12)</f>
        <v>18250</v>
      </c>
    </row>
    <row r="18" customFormat="false" ht="15" hidden="false" customHeight="true" outlineLevel="0" collapsed="false">
      <c r="B18" s="8" t="s">
        <v>23</v>
      </c>
      <c r="C18" s="19" t="n">
        <v>38000</v>
      </c>
      <c r="D18" s="10"/>
    </row>
    <row r="19" customFormat="false" ht="18" hidden="false" customHeight="true" outlineLevel="0" collapsed="false">
      <c r="B19" s="8" t="s">
        <v>24</v>
      </c>
      <c r="C19" s="19" t="n">
        <v>1200</v>
      </c>
      <c r="D19" s="10"/>
      <c r="F19" s="7" t="s">
        <v>25</v>
      </c>
      <c r="G19" s="7"/>
    </row>
    <row r="20" customFormat="false" ht="15" hidden="false" customHeight="true" outlineLevel="0" collapsed="false">
      <c r="B20" s="8" t="s">
        <v>26</v>
      </c>
      <c r="C20" s="12" t="n">
        <v>800</v>
      </c>
      <c r="D20" s="10"/>
      <c r="F20" s="20" t="s">
        <v>27</v>
      </c>
      <c r="G20" s="21" t="n">
        <f aca="false">G13-G16</f>
        <v>70918</v>
      </c>
    </row>
    <row r="21" customFormat="false" ht="15" hidden="false" customHeight="true" outlineLevel="0" collapsed="false">
      <c r="B21" s="8" t="s">
        <v>28</v>
      </c>
      <c r="C21" s="12" t="n">
        <v>15</v>
      </c>
      <c r="D21" s="10"/>
      <c r="F21" s="20" t="s">
        <v>29</v>
      </c>
      <c r="G21" s="21" t="n">
        <f aca="false">G13-G17</f>
        <v>64118</v>
      </c>
    </row>
    <row r="22" customFormat="false" ht="15" hidden="false" customHeight="true" outlineLevel="0" collapsed="false">
      <c r="B22" s="8" t="s">
        <v>30</v>
      </c>
      <c r="C22" s="22" t="n">
        <v>2.5</v>
      </c>
      <c r="D22" s="10"/>
      <c r="F22" s="16" t="s">
        <v>31</v>
      </c>
      <c r="G22" s="23" t="n">
        <f aca="false">IF((G13-G14)&lt;=0,"n. wirtschaftl.",C18/(G13-G14)*12)</f>
        <v>5.80758552179118</v>
      </c>
    </row>
    <row r="23" customFormat="false" ht="15" hidden="false" customHeight="true" outlineLevel="0" collapsed="false">
      <c r="B23" s="8" t="s">
        <v>32</v>
      </c>
      <c r="C23" s="14" t="n">
        <v>0.3</v>
      </c>
      <c r="D23" s="10"/>
      <c r="F23" s="20" t="s">
        <v>33</v>
      </c>
      <c r="G23" s="21" t="n">
        <f aca="false">(G13*C11)-(G14*C11+C18)</f>
        <v>354590</v>
      </c>
    </row>
    <row r="24" customFormat="false" ht="15" hidden="false" customHeight="true" outlineLevel="0" collapsed="false">
      <c r="B24" s="8" t="s">
        <v>34</v>
      </c>
      <c r="C24" s="19" t="n">
        <v>1500</v>
      </c>
      <c r="D24" s="10"/>
      <c r="F24" s="20" t="s">
        <v>35</v>
      </c>
      <c r="G24" s="24" t="n">
        <f aca="false">IF(C18=0,0,G23/C18)</f>
        <v>9.33131578947369</v>
      </c>
    </row>
    <row r="25" customFormat="false" ht="15" hidden="false" customHeight="true" outlineLevel="0" collapsed="false">
      <c r="B25" s="8" t="s">
        <v>36</v>
      </c>
      <c r="C25" s="19" t="n">
        <v>400</v>
      </c>
      <c r="D25" s="10"/>
    </row>
    <row r="28" customFormat="false" ht="18" hidden="false" customHeight="true" outlineLevel="0" collapsed="false">
      <c r="B28" s="6" t="s">
        <v>37</v>
      </c>
      <c r="C28" s="6"/>
      <c r="D28" s="6"/>
      <c r="E28" s="6"/>
      <c r="F28" s="6"/>
      <c r="G28" s="6"/>
    </row>
    <row r="29" customFormat="false" ht="25.5" hidden="false" customHeight="true" outlineLevel="0" collapsed="false">
      <c r="B29" s="25" t="s">
        <v>38</v>
      </c>
      <c r="C29" s="26" t="s">
        <v>39</v>
      </c>
      <c r="D29" s="26" t="s">
        <v>40</v>
      </c>
      <c r="E29" s="26" t="s">
        <v>41</v>
      </c>
      <c r="F29" s="26" t="s">
        <v>42</v>
      </c>
    </row>
    <row r="30" customFormat="false" ht="15" hidden="false" customHeight="true" outlineLevel="0" collapsed="false">
      <c r="B30" s="27" t="n">
        <f aca="false">IF(C11&gt;=1,1,"")</f>
        <v>1</v>
      </c>
      <c r="C30" s="28" t="n">
        <f aca="false">IF($B30="","",G13*1)</f>
        <v>82368</v>
      </c>
      <c r="D30" s="28" t="n">
        <f aca="false">IF($B30="","",C18+G14*1)</f>
        <v>41850</v>
      </c>
      <c r="E30" s="28" t="n">
        <f aca="false">IF($B30="","",(G14+C19*12)*1)</f>
        <v>18250</v>
      </c>
      <c r="F30" s="29" t="n">
        <f aca="false">IF($B30="","",C30-D30)</f>
        <v>40518</v>
      </c>
    </row>
    <row r="31" customFormat="false" ht="15" hidden="false" customHeight="true" outlineLevel="0" collapsed="false">
      <c r="B31" s="30" t="n">
        <f aca="false">IF(C11&gt;=2,2,"")</f>
        <v>2</v>
      </c>
      <c r="C31" s="31" t="n">
        <f aca="false">IF($B31="","",G13*2)</f>
        <v>164736</v>
      </c>
      <c r="D31" s="31" t="n">
        <f aca="false">IF($B31="","",C18+G14*2)</f>
        <v>45700</v>
      </c>
      <c r="E31" s="31" t="n">
        <f aca="false">IF($B31="","",(G14+C19*12)*2)</f>
        <v>36500</v>
      </c>
      <c r="F31" s="32" t="n">
        <f aca="false">IF($B31="","",C31-D31)</f>
        <v>119036</v>
      </c>
    </row>
    <row r="32" customFormat="false" ht="15" hidden="false" customHeight="true" outlineLevel="0" collapsed="false">
      <c r="B32" s="27" t="n">
        <f aca="false">IF(C11&gt;=3,3,"")</f>
        <v>3</v>
      </c>
      <c r="C32" s="28" t="n">
        <f aca="false">IF($B32="","",G13*3)</f>
        <v>247104</v>
      </c>
      <c r="D32" s="28" t="n">
        <f aca="false">IF($B32="","",C18+G14*3)</f>
        <v>49550</v>
      </c>
      <c r="E32" s="28" t="n">
        <f aca="false">IF($B32="","",(G14+C19*12)*3)</f>
        <v>54750</v>
      </c>
      <c r="F32" s="29" t="n">
        <f aca="false">IF($B32="","",C32-D32)</f>
        <v>197554</v>
      </c>
    </row>
    <row r="33" customFormat="false" ht="15" hidden="false" customHeight="true" outlineLevel="0" collapsed="false">
      <c r="B33" s="30" t="n">
        <f aca="false">IF(C11&gt;=4,4,"")</f>
        <v>4</v>
      </c>
      <c r="C33" s="31" t="n">
        <f aca="false">IF($B33="","",G13*4)</f>
        <v>329472</v>
      </c>
      <c r="D33" s="31" t="n">
        <f aca="false">IF($B33="","",C18+G14*4)</f>
        <v>53400</v>
      </c>
      <c r="E33" s="31" t="n">
        <f aca="false">IF($B33="","",(G14+C19*12)*4)</f>
        <v>73000</v>
      </c>
      <c r="F33" s="32" t="n">
        <f aca="false">IF($B33="","",C33-D33)</f>
        <v>276072</v>
      </c>
    </row>
    <row r="34" customFormat="false" ht="15" hidden="false" customHeight="true" outlineLevel="0" collapsed="false">
      <c r="B34" s="27" t="n">
        <f aca="false">IF(C11&gt;=5,5,"")</f>
        <v>5</v>
      </c>
      <c r="C34" s="28" t="n">
        <f aca="false">IF($B34="","",G13*5)</f>
        <v>411840</v>
      </c>
      <c r="D34" s="28" t="n">
        <f aca="false">IF($B34="","",C18+G14*5)</f>
        <v>57250</v>
      </c>
      <c r="E34" s="28" t="n">
        <f aca="false">IF($B34="","",(G14+C19*12)*5)</f>
        <v>91250</v>
      </c>
      <c r="F34" s="29" t="n">
        <f aca="false">IF($B34="","",C34-D34)</f>
        <v>354590</v>
      </c>
    </row>
    <row r="35" customFormat="false" ht="15" hidden="false" customHeight="true" outlineLevel="0" collapsed="false">
      <c r="B35" s="30" t="str">
        <f aca="false">IF(C11&gt;=6,6,"")</f>
        <v/>
      </c>
      <c r="C35" s="31" t="str">
        <f aca="false">IF($B35="","",G13*6)</f>
        <v/>
      </c>
      <c r="D35" s="31" t="str">
        <f aca="false">IF($B35="","",C18+G14*6)</f>
        <v/>
      </c>
      <c r="E35" s="31" t="str">
        <f aca="false">IF($B35="","",(G14+C19*12)*6)</f>
        <v/>
      </c>
      <c r="F35" s="32" t="str">
        <f aca="false">IF($B35="","",C35-D35)</f>
        <v/>
      </c>
    </row>
    <row r="36" customFormat="false" ht="15" hidden="false" customHeight="true" outlineLevel="0" collapsed="false">
      <c r="B36" s="27" t="str">
        <f aca="false">IF(C11&gt;=7,7,"")</f>
        <v/>
      </c>
      <c r="C36" s="28" t="str">
        <f aca="false">IF($B36="","",G13*7)</f>
        <v/>
      </c>
      <c r="D36" s="28" t="str">
        <f aca="false">IF($B36="","",C18+G14*7)</f>
        <v/>
      </c>
      <c r="E36" s="28" t="str">
        <f aca="false">IF($B36="","",(G14+C19*12)*7)</f>
        <v/>
      </c>
      <c r="F36" s="29" t="str">
        <f aca="false">IF($B36="","",C36-D36)</f>
        <v/>
      </c>
    </row>
    <row r="38" customFormat="false" ht="30" hidden="false" customHeight="true" outlineLevel="0" collapsed="false">
      <c r="B38" s="33" t="s">
        <v>43</v>
      </c>
      <c r="C38" s="33"/>
      <c r="D38" s="33"/>
      <c r="E38" s="33"/>
      <c r="F38" s="33"/>
    </row>
  </sheetData>
  <mergeCells count="12">
    <mergeCell ref="A1:G1"/>
    <mergeCell ref="A2:G2"/>
    <mergeCell ref="A3:G3"/>
    <mergeCell ref="B5:G5"/>
    <mergeCell ref="B7:D7"/>
    <mergeCell ref="F7:G7"/>
    <mergeCell ref="F12:G12"/>
    <mergeCell ref="B13:D13"/>
    <mergeCell ref="B17:D17"/>
    <mergeCell ref="F19:G19"/>
    <mergeCell ref="B28:G28"/>
    <mergeCell ref="B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0"/>
    <col collapsed="false" customWidth="true" hidden="false" outlineLevel="0" max="3" min="3" style="1" width="70"/>
  </cols>
  <sheetData>
    <row r="1" customFormat="false" ht="24" hidden="false" customHeight="true" outlineLevel="0" collapsed="false">
      <c r="A1" s="34" t="s">
        <v>44</v>
      </c>
      <c r="B1" s="34"/>
      <c r="C1" s="34"/>
    </row>
    <row r="3" customFormat="false" ht="42" hidden="false" customHeight="true" outlineLevel="0" collapsed="false">
      <c r="B3" s="35" t="s">
        <v>45</v>
      </c>
      <c r="C3" s="36" t="s">
        <v>46</v>
      </c>
    </row>
    <row r="4" customFormat="false" ht="42" hidden="false" customHeight="true" outlineLevel="0" collapsed="false">
      <c r="B4" s="35" t="s">
        <v>7</v>
      </c>
      <c r="C4" s="36" t="s">
        <v>47</v>
      </c>
    </row>
    <row r="5" customFormat="false" ht="42" hidden="false" customHeight="true" outlineLevel="0" collapsed="false">
      <c r="B5" s="35" t="s">
        <v>48</v>
      </c>
      <c r="C5" s="36" t="s">
        <v>49</v>
      </c>
    </row>
    <row r="6" customFormat="false" ht="42" hidden="false" customHeight="true" outlineLevel="0" collapsed="false">
      <c r="B6" s="35" t="s">
        <v>50</v>
      </c>
      <c r="C6" s="36" t="s">
        <v>51</v>
      </c>
    </row>
    <row r="7" customFormat="false" ht="42" hidden="false" customHeight="true" outlineLevel="0" collapsed="false">
      <c r="B7" s="35" t="s">
        <v>52</v>
      </c>
      <c r="C7" s="36" t="s">
        <v>53</v>
      </c>
    </row>
    <row r="8" customFormat="false" ht="42" hidden="false" customHeight="true" outlineLevel="0" collapsed="false">
      <c r="B8" s="35" t="s">
        <v>54</v>
      </c>
      <c r="C8" s="36" t="s">
        <v>55</v>
      </c>
    </row>
    <row r="9" customFormat="false" ht="42" hidden="false" customHeight="true" outlineLevel="0" collapsed="false">
      <c r="B9" s="35" t="s">
        <v>56</v>
      </c>
      <c r="C9" s="36" t="s">
        <v>57</v>
      </c>
    </row>
    <row r="10" customFormat="false" ht="42" hidden="false" customHeight="true" outlineLevel="0" collapsed="false">
      <c r="B10" s="35" t="s">
        <v>58</v>
      </c>
      <c r="C10" s="36" t="s">
        <v>59</v>
      </c>
    </row>
    <row r="11" customFormat="false" ht="42" hidden="false" customHeight="true" outlineLevel="0" collapsed="false">
      <c r="B11" s="35" t="s">
        <v>60</v>
      </c>
      <c r="C11" s="36" t="s">
        <v>61</v>
      </c>
    </row>
    <row r="12" customFormat="false" ht="42" hidden="false" customHeight="true" outlineLevel="0" collapsed="false">
      <c r="B12" s="35" t="s">
        <v>62</v>
      </c>
      <c r="C12" s="36" t="s">
        <v>63</v>
      </c>
    </row>
    <row r="14" customFormat="false" ht="15" hidden="false" customHeight="true" outlineLevel="0" collapsed="false">
      <c r="B14" s="37" t="s">
        <v>64</v>
      </c>
      <c r="C14" s="37"/>
    </row>
  </sheetData>
  <mergeCells count="2">
    <mergeCell ref="A1:C1"/>
    <mergeCell ref="B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2026-06-30T21:01:05Z</dcterms:created>
  <dc:creator>openpyxl</dc:creator>
  <dc:description/>
  <dc:language>en-US</dc:language>
  <cp:lastModifiedBy/>
  <dcterms:modified xsi:type="dcterms:W3CDTF">2026-06-30T21:02:04Z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